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4480" tabRatio="500"/>
  </bookViews>
  <sheets>
    <sheet name="Inputs" sheetId="11" r:id="rId1"/>
    <sheet name="WACC" sheetId="12" r:id="rId2"/>
    <sheet name="DCF Valuation" sheetId="13" r:id="rId3"/>
  </sheets>
  <definedNames>
    <definedName name="_xlnm.Print_Area" localSheetId="2">'DCF Valuation'!$A$1:$Q$31</definedName>
    <definedName name="_xlnm.Print_Area" localSheetId="0">Inputs!$B$1:$H$38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2" l="1"/>
  <c r="F18" i="12"/>
  <c r="F20" i="12"/>
  <c r="E26" i="11"/>
  <c r="B5" i="13"/>
  <c r="C18" i="13"/>
  <c r="C19" i="13"/>
  <c r="D18" i="13"/>
  <c r="D19" i="13"/>
  <c r="E18" i="13"/>
  <c r="E19" i="13"/>
  <c r="F18" i="13"/>
  <c r="G11" i="11"/>
  <c r="F9" i="13"/>
  <c r="F12" i="13"/>
  <c r="G16" i="11"/>
  <c r="F14" i="13"/>
  <c r="F15" i="13"/>
  <c r="F17" i="13"/>
  <c r="F19" i="13"/>
  <c r="G18" i="13"/>
  <c r="H11" i="11"/>
  <c r="G9" i="13"/>
  <c r="G12" i="13"/>
  <c r="H16" i="11"/>
  <c r="G14" i="13"/>
  <c r="G15" i="13"/>
  <c r="G17" i="13"/>
  <c r="G19" i="13"/>
  <c r="H18" i="13"/>
  <c r="B6" i="13"/>
  <c r="H15" i="13"/>
  <c r="H17" i="13"/>
  <c r="H20" i="13"/>
  <c r="C21" i="13"/>
  <c r="C25" i="13"/>
  <c r="C29" i="13"/>
  <c r="E36" i="11"/>
  <c r="D7" i="11"/>
  <c r="H8" i="13"/>
  <c r="G8" i="13"/>
  <c r="F8" i="13"/>
  <c r="E8" i="13"/>
  <c r="D8" i="13"/>
  <c r="C8" i="13"/>
  <c r="C5" i="12"/>
  <c r="C6" i="12"/>
  <c r="E14" i="12"/>
  <c r="E15" i="12"/>
  <c r="E16" i="12"/>
  <c r="F14" i="12"/>
  <c r="C10" i="12"/>
  <c r="C12" i="12"/>
  <c r="F15" i="12"/>
  <c r="C8" i="12"/>
  <c r="F19" i="12"/>
  <c r="D11" i="11"/>
  <c r="C9" i="13"/>
  <c r="C10" i="13"/>
  <c r="C11" i="13"/>
  <c r="C12" i="13"/>
  <c r="C13" i="13"/>
  <c r="D16" i="11"/>
  <c r="C14" i="13"/>
  <c r="C15" i="13"/>
  <c r="C17" i="13"/>
  <c r="E11" i="11"/>
  <c r="D9" i="13"/>
  <c r="D10" i="13"/>
  <c r="D11" i="13"/>
  <c r="D12" i="13"/>
  <c r="D13" i="13"/>
  <c r="E16" i="11"/>
  <c r="D14" i="13"/>
  <c r="D15" i="13"/>
  <c r="D17" i="13"/>
  <c r="F11" i="11"/>
  <c r="E9" i="13"/>
  <c r="E10" i="13"/>
  <c r="E11" i="13"/>
  <c r="E12" i="13"/>
  <c r="E13" i="13"/>
  <c r="F16" i="11"/>
  <c r="E14" i="13"/>
  <c r="E15" i="13"/>
  <c r="E17" i="13"/>
  <c r="F10" i="13"/>
  <c r="F11" i="13"/>
  <c r="F13" i="13"/>
  <c r="G10" i="13"/>
  <c r="G11" i="13"/>
  <c r="G13" i="13"/>
  <c r="C23" i="13"/>
  <c r="C27" i="13"/>
  <c r="E7" i="11"/>
  <c r="F7" i="11"/>
  <c r="G7" i="11"/>
  <c r="H7" i="11"/>
  <c r="E13" i="11"/>
  <c r="E17" i="11"/>
  <c r="F13" i="11"/>
  <c r="F17" i="11"/>
  <c r="G13" i="11"/>
  <c r="G17" i="11"/>
  <c r="H13" i="11"/>
  <c r="H17" i="11"/>
  <c r="D13" i="11"/>
  <c r="D17" i="11"/>
  <c r="O13" i="13"/>
  <c r="P13" i="13"/>
  <c r="Q13" i="13"/>
  <c r="N13" i="13"/>
  <c r="M13" i="13"/>
  <c r="L16" i="13"/>
  <c r="L17" i="13"/>
  <c r="L18" i="13"/>
  <c r="L15" i="13"/>
  <c r="L14" i="13"/>
  <c r="F7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O16" i="13"/>
  <c r="G7" i="13"/>
  <c r="E24" i="11"/>
  <c r="C7" i="12"/>
  <c r="C9" i="12"/>
  <c r="D19" i="12"/>
  <c r="D20" i="12"/>
  <c r="D7" i="13"/>
  <c r="E7" i="13"/>
  <c r="C7" i="13"/>
  <c r="D20" i="11"/>
  <c r="D22" i="11"/>
  <c r="E20" i="11"/>
  <c r="E21" i="11"/>
  <c r="D18" i="12"/>
  <c r="D14" i="12"/>
  <c r="F16" i="12"/>
</calcChain>
</file>

<file path=xl/sharedStrings.xml><?xml version="1.0" encoding="utf-8"?>
<sst xmlns="http://schemas.openxmlformats.org/spreadsheetml/2006/main" count="90" uniqueCount="67">
  <si>
    <t>Operating profit</t>
  </si>
  <si>
    <t>Assumptions</t>
  </si>
  <si>
    <t>Tax</t>
  </si>
  <si>
    <t>Changes in working capital</t>
  </si>
  <si>
    <t>Net debt</t>
  </si>
  <si>
    <t>Operating Free Cash Flow</t>
  </si>
  <si>
    <t>WACC Calculation</t>
  </si>
  <si>
    <t>% Funding</t>
  </si>
  <si>
    <t>Sensitivity</t>
  </si>
  <si>
    <t>2015E</t>
  </si>
  <si>
    <t>2016E</t>
  </si>
  <si>
    <t>2017E</t>
  </si>
  <si>
    <t>2018E</t>
  </si>
  <si>
    <t>Revenue</t>
  </si>
  <si>
    <t>Total</t>
  </si>
  <si>
    <t>Growth</t>
  </si>
  <si>
    <t>Margin</t>
  </si>
  <si>
    <t>EBIT</t>
  </si>
  <si>
    <t>=</t>
  </si>
  <si>
    <t>Depreciation &amp; amortisation</t>
  </si>
  <si>
    <t>WACC</t>
  </si>
  <si>
    <t>Capex</t>
  </si>
  <si>
    <t>Growth in OP FCF</t>
  </si>
  <si>
    <t>Share price</t>
  </si>
  <si>
    <t>DCF OPFCF</t>
  </si>
  <si>
    <t>Discount rate</t>
  </si>
  <si>
    <t>Growth in perpetuity</t>
  </si>
  <si>
    <t>Perpetuity</t>
  </si>
  <si>
    <t>Movement in working capital</t>
  </si>
  <si>
    <t>Cashflow from operations</t>
  </si>
  <si>
    <t>OPFCF growth rate in perpetuity</t>
  </si>
  <si>
    <t>Capital expenditure</t>
  </si>
  <si>
    <t>W</t>
  </si>
  <si>
    <t>Operating free cash flow</t>
  </si>
  <si>
    <t>A</t>
  </si>
  <si>
    <t>Plus in perpetuity flows</t>
  </si>
  <si>
    <t>C</t>
  </si>
  <si>
    <t>Discount factor</t>
  </si>
  <si>
    <t>Present value of forecast cashflows</t>
  </si>
  <si>
    <t>Terminal value</t>
  </si>
  <si>
    <t>Total Enterprise Value</t>
  </si>
  <si>
    <t>Total Equity Value</t>
  </si>
  <si>
    <t>Target share price</t>
  </si>
  <si>
    <t>Cost of equity</t>
  </si>
  <si>
    <t>Cost of debt (post tax)</t>
  </si>
  <si>
    <t>Risk free rate</t>
  </si>
  <si>
    <t>Equity risk premium</t>
  </si>
  <si>
    <t>Beta</t>
  </si>
  <si>
    <t>Number of shares (m)</t>
  </si>
  <si>
    <t>No of shares x price</t>
  </si>
  <si>
    <t>Rf + (beta x ERP)</t>
  </si>
  <si>
    <t>(%E x cost of E) + (%D x cost of D)</t>
  </si>
  <si>
    <t>Interest rate x (1-tax rate)</t>
  </si>
  <si>
    <t>Less: Debt</t>
  </si>
  <si>
    <t>Number of  shares</t>
  </si>
  <si>
    <t>Market capitalisation</t>
  </si>
  <si>
    <t>Effective tax rate</t>
  </si>
  <si>
    <t>Net debt (£m)</t>
  </si>
  <si>
    <t>EBITDA</t>
  </si>
  <si>
    <t>Current share price (£)</t>
  </si>
  <si>
    <t>Currency</t>
  </si>
  <si>
    <t>$</t>
  </si>
  <si>
    <t>Input data in blue boxes ONLY</t>
  </si>
  <si>
    <t>©  FinanceTalking Ltd</t>
  </si>
  <si>
    <t>Average interest rate (gross)</t>
  </si>
  <si>
    <t>Valuation</t>
  </si>
  <si>
    <t>2019E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</si>
</sst>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0.000"/>
    <numFmt numFmtId="168" formatCode="[$£-809]#,##0.00;\-[$£-809]#,##0.00"/>
    <numFmt numFmtId="169" formatCode="#,##0.00;\(#,##0.00\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</font>
    <font>
      <sz val="11"/>
      <color theme="1"/>
      <name val="Arial"/>
      <family val="2"/>
    </font>
    <font>
      <b/>
      <sz val="10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F617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CED6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1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165" fontId="7" fillId="2" borderId="8" xfId="0" applyNumberFormat="1" applyFont="1" applyFill="1" applyBorder="1"/>
    <xf numFmtId="0" fontId="8" fillId="0" borderId="0" xfId="0" applyFont="1"/>
    <xf numFmtId="0" fontId="9" fillId="0" borderId="0" xfId="0" applyFont="1"/>
    <xf numFmtId="165" fontId="9" fillId="0" borderId="0" xfId="0" applyNumberFormat="1" applyFont="1" applyFill="1"/>
    <xf numFmtId="0" fontId="9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164" fontId="8" fillId="0" borderId="0" xfId="0" applyNumberFormat="1" applyFont="1"/>
    <xf numFmtId="164" fontId="8" fillId="3" borderId="1" xfId="0" applyNumberFormat="1" applyFont="1" applyFill="1" applyBorder="1"/>
    <xf numFmtId="164" fontId="9" fillId="0" borderId="3" xfId="0" applyNumberFormat="1" applyFont="1" applyBorder="1"/>
    <xf numFmtId="164" fontId="9" fillId="3" borderId="1" xfId="0" applyNumberFormat="1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165" fontId="7" fillId="2" borderId="13" xfId="0" applyNumberFormat="1" applyFont="1" applyFill="1" applyBorder="1"/>
    <xf numFmtId="165" fontId="7" fillId="2" borderId="0" xfId="0" applyNumberFormat="1" applyFont="1" applyFill="1" applyBorder="1"/>
    <xf numFmtId="165" fontId="7" fillId="2" borderId="14" xfId="0" applyNumberFormat="1" applyFont="1" applyFill="1" applyBorder="1"/>
    <xf numFmtId="0" fontId="7" fillId="2" borderId="13" xfId="0" applyFont="1" applyFill="1" applyBorder="1"/>
    <xf numFmtId="164" fontId="9" fillId="0" borderId="4" xfId="0" applyNumberFormat="1" applyFont="1" applyBorder="1"/>
    <xf numFmtId="166" fontId="9" fillId="3" borderId="15" xfId="0" applyNumberFormat="1" applyFont="1" applyFill="1" applyBorder="1"/>
    <xf numFmtId="164" fontId="8" fillId="0" borderId="4" xfId="0" applyNumberFormat="1" applyFont="1" applyBorder="1"/>
    <xf numFmtId="164" fontId="8" fillId="3" borderId="15" xfId="0" applyNumberFormat="1" applyFont="1" applyFill="1" applyBorder="1"/>
    <xf numFmtId="0" fontId="7" fillId="2" borderId="16" xfId="0" applyFont="1" applyFill="1" applyBorder="1"/>
    <xf numFmtId="165" fontId="7" fillId="2" borderId="17" xfId="0" applyNumberFormat="1" applyFont="1" applyFill="1" applyBorder="1"/>
    <xf numFmtId="37" fontId="9" fillId="0" borderId="4" xfId="0" applyNumberFormat="1" applyFont="1" applyBorder="1"/>
    <xf numFmtId="0" fontId="9" fillId="3" borderId="1" xfId="0" applyFont="1" applyFill="1" applyBorder="1"/>
    <xf numFmtId="37" fontId="9" fillId="3" borderId="8" xfId="0" applyNumberFormat="1" applyFont="1" applyFill="1" applyBorder="1"/>
    <xf numFmtId="0" fontId="9" fillId="3" borderId="6" xfId="0" applyFont="1" applyFill="1" applyBorder="1"/>
    <xf numFmtId="0" fontId="9" fillId="3" borderId="5" xfId="0" applyFont="1" applyFill="1" applyBorder="1"/>
    <xf numFmtId="37" fontId="9" fillId="3" borderId="7" xfId="0" applyNumberFormat="1" applyFont="1" applyFill="1" applyBorder="1"/>
    <xf numFmtId="7" fontId="9" fillId="0" borderId="0" xfId="0" applyNumberFormat="1" applyFont="1" applyFill="1"/>
    <xf numFmtId="7" fontId="8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0" fontId="10" fillId="0" borderId="0" xfId="0" applyFont="1" applyFill="1" applyAlignment="1">
      <alignment horizontal="center"/>
    </xf>
    <xf numFmtId="3" fontId="5" fillId="0" borderId="4" xfId="0" applyNumberFormat="1" applyFont="1" applyFill="1" applyBorder="1"/>
    <xf numFmtId="0" fontId="5" fillId="0" borderId="0" xfId="0" quotePrefix="1" applyFont="1" applyFill="1" applyAlignment="1">
      <alignment horizontal="center"/>
    </xf>
    <xf numFmtId="165" fontId="5" fillId="0" borderId="0" xfId="0" applyNumberFormat="1" applyFont="1" applyFill="1"/>
    <xf numFmtId="165" fontId="5" fillId="0" borderId="8" xfId="0" applyNumberFormat="1" applyFont="1" applyFill="1" applyBorder="1"/>
    <xf numFmtId="9" fontId="5" fillId="0" borderId="0" xfId="0" applyNumberFormat="1" applyFont="1" applyFill="1"/>
    <xf numFmtId="0" fontId="13" fillId="0" borderId="0" xfId="0" applyFont="1"/>
    <xf numFmtId="0" fontId="13" fillId="0" borderId="0" xfId="0" applyFont="1" applyFill="1"/>
    <xf numFmtId="167" fontId="9" fillId="0" borderId="0" xfId="0" applyNumberFormat="1" applyFont="1"/>
    <xf numFmtId="167" fontId="9" fillId="3" borderId="1" xfId="0" applyNumberFormat="1" applyFont="1" applyFill="1" applyBorder="1"/>
    <xf numFmtId="9" fontId="5" fillId="0" borderId="0" xfId="1" applyFont="1"/>
    <xf numFmtId="0" fontId="9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9" fontId="8" fillId="0" borderId="0" xfId="0" applyNumberFormat="1" applyFont="1"/>
    <xf numFmtId="164" fontId="8" fillId="0" borderId="0" xfId="0" applyNumberFormat="1" applyFont="1" applyFill="1"/>
    <xf numFmtId="9" fontId="14" fillId="0" borderId="0" xfId="0" applyNumberFormat="1" applyFont="1" applyFill="1"/>
    <xf numFmtId="169" fontId="5" fillId="0" borderId="0" xfId="296" applyNumberFormat="1" applyFont="1" applyFill="1" applyAlignment="1">
      <alignment horizontal="center"/>
    </xf>
    <xf numFmtId="166" fontId="5" fillId="0" borderId="0" xfId="296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9" fillId="0" borderId="0" xfId="0" applyNumberFormat="1" applyFont="1"/>
    <xf numFmtId="2" fontId="9" fillId="0" borderId="0" xfId="0" applyNumberFormat="1" applyFont="1" applyFill="1"/>
    <xf numFmtId="2" fontId="5" fillId="0" borderId="0" xfId="1" applyNumberFormat="1" applyFont="1" applyFill="1" applyAlignment="1">
      <alignment horizontal="center"/>
    </xf>
    <xf numFmtId="43" fontId="8" fillId="0" borderId="8" xfId="313" applyFont="1" applyBorder="1"/>
    <xf numFmtId="43" fontId="8" fillId="4" borderId="8" xfId="313" applyFont="1" applyFill="1" applyBorder="1"/>
    <xf numFmtId="168" fontId="9" fillId="3" borderId="7" xfId="0" applyNumberFormat="1" applyFont="1" applyFill="1" applyBorder="1" applyAlignment="1">
      <alignment horizontal="right"/>
    </xf>
    <xf numFmtId="0" fontId="5" fillId="0" borderId="0" xfId="0" applyFont="1" applyProtection="1">
      <protection locked="0"/>
    </xf>
    <xf numFmtId="3" fontId="6" fillId="0" borderId="0" xfId="0" applyNumberFormat="1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164" fontId="5" fillId="0" borderId="0" xfId="0" applyNumberFormat="1" applyFont="1" applyFill="1" applyProtection="1">
      <protection locked="0"/>
    </xf>
    <xf numFmtId="164" fontId="15" fillId="0" borderId="0" xfId="0" applyNumberFormat="1" applyFont="1" applyFill="1" applyProtection="1">
      <protection locked="0"/>
    </xf>
    <xf numFmtId="164" fontId="5" fillId="0" borderId="4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9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3" fontId="5" fillId="0" borderId="4" xfId="0" applyNumberFormat="1" applyFont="1" applyBorder="1" applyProtection="1">
      <protection locked="0"/>
    </xf>
    <xf numFmtId="0" fontId="5" fillId="0" borderId="0" xfId="0" quotePrefix="1" applyFont="1" applyAlignment="1" applyProtection="1">
      <alignment horizontal="center"/>
      <protection locked="0"/>
    </xf>
    <xf numFmtId="165" fontId="5" fillId="0" borderId="8" xfId="0" applyNumberFormat="1" applyFont="1" applyFill="1" applyBorder="1" applyProtection="1"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0" fillId="5" borderId="0" xfId="0" applyFont="1" applyFill="1" applyAlignment="1" applyProtection="1">
      <alignment horizontal="center"/>
      <protection locked="0"/>
    </xf>
    <xf numFmtId="3" fontId="5" fillId="5" borderId="0" xfId="0" applyNumberFormat="1" applyFont="1" applyFill="1" applyProtection="1">
      <protection locked="0"/>
    </xf>
    <xf numFmtId="165" fontId="12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9" fontId="5" fillId="5" borderId="0" xfId="0" applyNumberFormat="1" applyFont="1" applyFill="1" applyAlignment="1" applyProtection="1">
      <alignment horizontal="left"/>
      <protection locked="0"/>
    </xf>
    <xf numFmtId="165" fontId="5" fillId="5" borderId="0" xfId="0" applyNumberFormat="1" applyFont="1" applyFill="1" applyProtection="1">
      <protection locked="0"/>
    </xf>
    <xf numFmtId="2" fontId="5" fillId="5" borderId="0" xfId="0" applyNumberFormat="1" applyFont="1" applyFill="1" applyProtection="1">
      <protection locked="0"/>
    </xf>
    <xf numFmtId="165" fontId="5" fillId="5" borderId="0" xfId="1" applyNumberFormat="1" applyFont="1" applyFill="1" applyProtection="1">
      <protection locked="0"/>
    </xf>
    <xf numFmtId="164" fontId="15" fillId="5" borderId="18" xfId="0" applyNumberFormat="1" applyFont="1" applyFill="1" applyBorder="1" applyProtection="1">
      <protection locked="0"/>
    </xf>
    <xf numFmtId="169" fontId="5" fillId="5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7" fillId="6" borderId="6" xfId="0" applyFont="1" applyFill="1" applyBorder="1" applyProtection="1">
      <protection locked="0"/>
    </xf>
    <xf numFmtId="0" fontId="17" fillId="6" borderId="5" xfId="0" applyFont="1" applyFill="1" applyBorder="1" applyProtection="1">
      <protection locked="0"/>
    </xf>
    <xf numFmtId="0" fontId="17" fillId="6" borderId="7" xfId="0" applyFont="1" applyFill="1" applyBorder="1" applyAlignment="1" applyProtection="1">
      <alignment horizontal="right"/>
    </xf>
    <xf numFmtId="0" fontId="6" fillId="5" borderId="6" xfId="0" applyFont="1" applyFill="1" applyBorder="1" applyAlignment="1" applyProtection="1">
      <protection locked="0"/>
    </xf>
    <xf numFmtId="0" fontId="6" fillId="5" borderId="7" xfId="0" applyFont="1" applyFill="1" applyBorder="1" applyAlignment="1" applyProtection="1">
      <protection locked="0"/>
    </xf>
    <xf numFmtId="165" fontId="7" fillId="2" borderId="2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314">
    <cellStyle name="Comma" xfId="313" builtinId="3"/>
    <cellStyle name="Currency" xfId="296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1052830</xdr:colOff>
      <xdr:row>2</xdr:row>
      <xdr:rowOff>78740</xdr:rowOff>
    </xdr:to>
    <xdr:pic>
      <xdr:nvPicPr>
        <xdr:cNvPr id="2" name="Picture 1" descr="FinanceTalking Logo for Print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1776730" cy="326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2</xdr:col>
      <xdr:colOff>71755</xdr:colOff>
      <xdr:row>2</xdr:row>
      <xdr:rowOff>31115</xdr:rowOff>
    </xdr:to>
    <xdr:pic>
      <xdr:nvPicPr>
        <xdr:cNvPr id="3" name="Picture 2" descr="FinanceTalking Logo for Print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1776730" cy="326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1814830</xdr:colOff>
      <xdr:row>2</xdr:row>
      <xdr:rowOff>40640</xdr:rowOff>
    </xdr:to>
    <xdr:pic>
      <xdr:nvPicPr>
        <xdr:cNvPr id="2" name="Picture 1" descr="FinanceTalking Logo for Print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1776730" cy="326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colours">
      <a:dk1>
        <a:srgbClr val="262626"/>
      </a:dk1>
      <a:lt1>
        <a:sysClr val="window" lastClr="FFFFFF"/>
      </a:lt1>
      <a:dk2>
        <a:srgbClr val="262626"/>
      </a:dk2>
      <a:lt2>
        <a:srgbClr val="E0E0E0"/>
      </a:lt2>
      <a:accent1>
        <a:srgbClr val="3F617D"/>
      </a:accent1>
      <a:accent2>
        <a:srgbClr val="882E42"/>
      </a:accent2>
      <a:accent3>
        <a:srgbClr val="325F32"/>
      </a:accent3>
      <a:accent4>
        <a:srgbClr val="DB8A31"/>
      </a:accent4>
      <a:accent5>
        <a:srgbClr val="B25C3A"/>
      </a:accent5>
      <a:accent6>
        <a:srgbClr val="553668"/>
      </a:accent6>
      <a:hlink>
        <a:srgbClr val="3F617D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J38"/>
  <sheetViews>
    <sheetView tabSelected="1" topLeftCell="B1" zoomScale="200" zoomScaleNormal="200" zoomScalePageLayoutView="200" workbookViewId="0">
      <selection activeCell="B6" sqref="B6"/>
    </sheetView>
  </sheetViews>
  <sheetFormatPr baseColWidth="10" defaultColWidth="8.83203125" defaultRowHeight="12" x14ac:dyDescent="0"/>
  <cols>
    <col min="1" max="1" width="1.6640625" style="61" customWidth="1"/>
    <col min="2" max="2" width="10" style="61" customWidth="1"/>
    <col min="3" max="3" width="17.5" style="61" customWidth="1"/>
    <col min="4" max="7" width="9" style="61" customWidth="1"/>
    <col min="8" max="16384" width="8.83203125" style="61"/>
  </cols>
  <sheetData>
    <row r="4" spans="2:10">
      <c r="B4" s="98" t="s">
        <v>62</v>
      </c>
      <c r="C4" s="99"/>
    </row>
    <row r="5" spans="2:10">
      <c r="B5" s="81" t="s">
        <v>61</v>
      </c>
      <c r="C5" s="62" t="s">
        <v>60</v>
      </c>
    </row>
    <row r="6" spans="2:10" s="63" customFormat="1">
      <c r="B6" s="61"/>
      <c r="C6" s="61"/>
      <c r="D6" s="83" t="s">
        <v>9</v>
      </c>
      <c r="E6" s="83" t="s">
        <v>10</v>
      </c>
      <c r="F6" s="83" t="s">
        <v>11</v>
      </c>
      <c r="G6" s="83" t="s">
        <v>12</v>
      </c>
      <c r="H6" s="83" t="s">
        <v>66</v>
      </c>
    </row>
    <row r="7" spans="2:10">
      <c r="D7" s="64" t="str">
        <f>CONCATENATE($B$5,"m")</f>
        <v>$m</v>
      </c>
      <c r="E7" s="64" t="str">
        <f t="shared" ref="E7:H7" si="0">CONCATENATE($B$5,"m")</f>
        <v>$m</v>
      </c>
      <c r="F7" s="64" t="str">
        <f t="shared" si="0"/>
        <v>$m</v>
      </c>
      <c r="G7" s="64" t="str">
        <f t="shared" si="0"/>
        <v>$m</v>
      </c>
      <c r="H7" s="64" t="str">
        <f t="shared" si="0"/>
        <v>$m</v>
      </c>
      <c r="I7" s="65"/>
      <c r="J7" s="65"/>
    </row>
    <row r="8" spans="2:10">
      <c r="B8" s="61" t="s">
        <v>13</v>
      </c>
      <c r="D8" s="84">
        <v>12788</v>
      </c>
      <c r="E8" s="66">
        <v>13705</v>
      </c>
      <c r="F8" s="66">
        <v>14527.300000000001</v>
      </c>
      <c r="G8" s="66">
        <v>15398.938000000002</v>
      </c>
      <c r="H8" s="66">
        <v>16322.874280000004</v>
      </c>
    </row>
    <row r="9" spans="2:10">
      <c r="B9" s="67" t="s">
        <v>15</v>
      </c>
      <c r="C9" s="67"/>
      <c r="D9" s="68"/>
      <c r="E9" s="85">
        <v>7.1999999999999995E-2</v>
      </c>
      <c r="F9" s="85">
        <v>0.08</v>
      </c>
      <c r="G9" s="85">
        <v>0.09</v>
      </c>
      <c r="H9" s="85">
        <v>0.06</v>
      </c>
      <c r="I9" s="69"/>
    </row>
    <row r="10" spans="2:10">
      <c r="B10" s="70" t="s">
        <v>16</v>
      </c>
      <c r="C10" s="70"/>
      <c r="D10" s="85">
        <v>0.28799999999999998</v>
      </c>
      <c r="E10" s="85">
        <v>0.29699999999999999</v>
      </c>
      <c r="F10" s="85">
        <v>0.34</v>
      </c>
      <c r="G10" s="85">
        <v>0.35</v>
      </c>
      <c r="H10" s="85">
        <v>0.36</v>
      </c>
      <c r="I10" s="69"/>
    </row>
    <row r="11" spans="2:10">
      <c r="B11" s="61" t="s">
        <v>17</v>
      </c>
      <c r="D11" s="71">
        <f>D8*D10</f>
        <v>3682.9439999999995</v>
      </c>
      <c r="E11" s="71">
        <f t="shared" ref="E11:H11" si="1">E8*E10</f>
        <v>4070.3849999999998</v>
      </c>
      <c r="F11" s="71">
        <f t="shared" si="1"/>
        <v>4939.2820000000011</v>
      </c>
      <c r="G11" s="71">
        <f t="shared" si="1"/>
        <v>5389.6283000000003</v>
      </c>
      <c r="H11" s="71">
        <f t="shared" si="1"/>
        <v>5876.2347408000014</v>
      </c>
    </row>
    <row r="12" spans="2:10">
      <c r="B12" s="61" t="s">
        <v>19</v>
      </c>
      <c r="D12" s="91">
        <v>417</v>
      </c>
      <c r="E12" s="91">
        <v>431</v>
      </c>
      <c r="F12" s="91">
        <v>456</v>
      </c>
      <c r="G12" s="91">
        <v>465</v>
      </c>
      <c r="H12" s="91">
        <v>474</v>
      </c>
    </row>
    <row r="13" spans="2:10" s="65" customFormat="1">
      <c r="B13" s="65" t="s">
        <v>58</v>
      </c>
      <c r="D13" s="72">
        <f>D11+D12</f>
        <v>4099.9439999999995</v>
      </c>
      <c r="E13" s="72">
        <f t="shared" ref="E13:H13" si="2">E11+E12</f>
        <v>4501.3850000000002</v>
      </c>
      <c r="F13" s="72">
        <f t="shared" si="2"/>
        <v>5395.2820000000011</v>
      </c>
      <c r="G13" s="72">
        <f t="shared" si="2"/>
        <v>5854.6283000000003</v>
      </c>
      <c r="H13" s="72">
        <f t="shared" si="2"/>
        <v>6350.2347408000014</v>
      </c>
    </row>
    <row r="14" spans="2:10">
      <c r="B14" s="61" t="s">
        <v>3</v>
      </c>
      <c r="D14" s="86">
        <v>-412</v>
      </c>
      <c r="E14" s="86">
        <v>-209</v>
      </c>
      <c r="F14" s="86">
        <v>-150</v>
      </c>
      <c r="G14" s="86">
        <v>-150</v>
      </c>
      <c r="H14" s="86">
        <v>-185</v>
      </c>
    </row>
    <row r="15" spans="2:10">
      <c r="B15" s="61" t="s">
        <v>21</v>
      </c>
      <c r="D15" s="86">
        <v>-639</v>
      </c>
      <c r="E15" s="86">
        <v>-685.25</v>
      </c>
      <c r="F15" s="86">
        <v>-456</v>
      </c>
      <c r="G15" s="86">
        <v>-465</v>
      </c>
      <c r="H15" s="86">
        <v>-816</v>
      </c>
    </row>
    <row r="16" spans="2:10">
      <c r="B16" s="61" t="s">
        <v>2</v>
      </c>
      <c r="C16" s="87">
        <v>0.18</v>
      </c>
      <c r="D16" s="72">
        <f t="shared" ref="D16:H16" si="3">-D11*$C$16</f>
        <v>-662.92991999999992</v>
      </c>
      <c r="E16" s="72">
        <f t="shared" si="3"/>
        <v>-732.66929999999991</v>
      </c>
      <c r="F16" s="72">
        <f t="shared" si="3"/>
        <v>-889.07076000000018</v>
      </c>
      <c r="G16" s="72">
        <f t="shared" si="3"/>
        <v>-970.13309400000003</v>
      </c>
      <c r="H16" s="72">
        <f t="shared" si="3"/>
        <v>-1057.7222533440001</v>
      </c>
    </row>
    <row r="17" spans="2:8" ht="13" thickBot="1">
      <c r="B17" s="61" t="s">
        <v>5</v>
      </c>
      <c r="D17" s="73">
        <f>SUM(D13:D16)</f>
        <v>2386.0140799999995</v>
      </c>
      <c r="E17" s="73">
        <f t="shared" ref="E17:H17" si="4">SUM(E13:E16)</f>
        <v>2874.4657000000002</v>
      </c>
      <c r="F17" s="73">
        <f t="shared" si="4"/>
        <v>3900.211240000001</v>
      </c>
      <c r="G17" s="73">
        <f t="shared" si="4"/>
        <v>4269.4952060000005</v>
      </c>
      <c r="H17" s="73">
        <f t="shared" si="4"/>
        <v>4291.5124874560015</v>
      </c>
    </row>
    <row r="18" spans="2:8" ht="13" thickTop="1"/>
    <row r="19" spans="2:8">
      <c r="B19" s="63" t="s">
        <v>6</v>
      </c>
      <c r="C19" s="63"/>
      <c r="D19" s="63"/>
      <c r="E19" s="74" t="s">
        <v>7</v>
      </c>
      <c r="G19" s="75" t="s">
        <v>8</v>
      </c>
    </row>
    <row r="20" spans="2:8">
      <c r="B20" s="61" t="s">
        <v>55</v>
      </c>
      <c r="D20" s="66">
        <f>WACC!E14</f>
        <v>50635</v>
      </c>
      <c r="E20" s="76">
        <f>D20/$D$22</f>
        <v>0.85766794268098512</v>
      </c>
      <c r="G20" s="77"/>
    </row>
    <row r="21" spans="2:8">
      <c r="B21" s="61" t="s">
        <v>4</v>
      </c>
      <c r="D21" s="84">
        <v>8403</v>
      </c>
      <c r="E21" s="76">
        <f>D21/$D$22</f>
        <v>0.14233205731901488</v>
      </c>
      <c r="G21" s="77"/>
    </row>
    <row r="22" spans="2:8" ht="13" thickBot="1">
      <c r="B22" s="61" t="s">
        <v>14</v>
      </c>
      <c r="D22" s="78">
        <f>SUM(D20:D21)</f>
        <v>59038</v>
      </c>
      <c r="E22" s="76"/>
      <c r="G22" s="77"/>
    </row>
    <row r="23" spans="2:8" ht="8.25" customHeight="1" thickTop="1">
      <c r="E23" s="76"/>
      <c r="G23" s="77"/>
    </row>
    <row r="24" spans="2:8">
      <c r="B24" s="61" t="s">
        <v>43</v>
      </c>
      <c r="D24" s="79" t="s">
        <v>18</v>
      </c>
      <c r="E24" s="77">
        <f>E28+(E30*E29)</f>
        <v>8.5000000000000006E-2</v>
      </c>
      <c r="G24" s="77"/>
    </row>
    <row r="25" spans="2:8">
      <c r="B25" s="61" t="s">
        <v>44</v>
      </c>
      <c r="D25" s="79" t="s">
        <v>18</v>
      </c>
      <c r="E25" s="88">
        <v>0.04</v>
      </c>
      <c r="G25" s="77"/>
    </row>
    <row r="26" spans="2:8">
      <c r="B26" s="61" t="s">
        <v>20</v>
      </c>
      <c r="D26" s="79" t="s">
        <v>18</v>
      </c>
      <c r="E26" s="80">
        <f>WACC!F20</f>
        <v>7.8699999999999992E-2</v>
      </c>
      <c r="G26" s="90">
        <v>5.0000000000000001E-3</v>
      </c>
    </row>
    <row r="27" spans="2:8" ht="7.5" customHeight="1">
      <c r="E27" s="77"/>
      <c r="G27" s="77"/>
    </row>
    <row r="28" spans="2:8">
      <c r="B28" s="61" t="s">
        <v>45</v>
      </c>
      <c r="E28" s="88">
        <v>0.04</v>
      </c>
      <c r="G28" s="77"/>
    </row>
    <row r="29" spans="2:8">
      <c r="B29" s="61" t="s">
        <v>46</v>
      </c>
      <c r="E29" s="88">
        <v>0.05</v>
      </c>
      <c r="G29" s="77"/>
    </row>
    <row r="30" spans="2:8">
      <c r="B30" s="61" t="s">
        <v>47</v>
      </c>
      <c r="E30" s="89">
        <v>0.9</v>
      </c>
      <c r="G30" s="77"/>
    </row>
    <row r="31" spans="2:8">
      <c r="B31" s="65" t="s">
        <v>22</v>
      </c>
      <c r="C31" s="65"/>
      <c r="E31" s="88">
        <v>1.4999999999999999E-2</v>
      </c>
      <c r="G31" s="90">
        <v>5.0000000000000001E-3</v>
      </c>
    </row>
    <row r="32" spans="2:8" ht="6.75" customHeight="1">
      <c r="E32" s="76"/>
      <c r="G32" s="77"/>
    </row>
    <row r="33" spans="2:6">
      <c r="B33" s="61" t="s">
        <v>48</v>
      </c>
      <c r="E33" s="92">
        <v>2510.42</v>
      </c>
      <c r="F33" s="77"/>
    </row>
    <row r="34" spans="2:6">
      <c r="B34" s="61" t="s">
        <v>23</v>
      </c>
      <c r="E34" s="89">
        <v>20.170000000000002</v>
      </c>
      <c r="F34" s="77"/>
    </row>
    <row r="36" spans="2:6">
      <c r="B36" s="95" t="s">
        <v>65</v>
      </c>
      <c r="C36" s="96"/>
      <c r="D36" s="96"/>
      <c r="E36" s="97" t="str">
        <f>'DCF Valuation'!C29</f>
        <v>$20.72</v>
      </c>
    </row>
    <row r="37" spans="2:6">
      <c r="B37" s="93"/>
      <c r="C37" s="93"/>
      <c r="D37" s="93"/>
      <c r="E37" s="94"/>
    </row>
    <row r="38" spans="2:6" ht="13">
      <c r="B38" s="82" t="s">
        <v>63</v>
      </c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/>
  <headerFooter>
    <oddFooter>&amp;A</oddFooter>
  </headerFooter>
  <ignoredErrors>
    <ignoredError sqref="D7:H7 D11:H11 D13:E13 D16:D17 D20:E20 D22 E26 E24 F13:H13 E16:E17 F16:F17 G16:G17 H16:H17 E21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H26"/>
  <sheetViews>
    <sheetView topLeftCell="A5" workbookViewId="0">
      <selection activeCell="D19" sqref="D19"/>
    </sheetView>
  </sheetViews>
  <sheetFormatPr baseColWidth="10" defaultColWidth="11" defaultRowHeight="15" x14ac:dyDescent="0"/>
  <cols>
    <col min="1" max="1" width="2.6640625" style="41" customWidth="1"/>
    <col min="2" max="2" width="22" style="41" customWidth="1"/>
    <col min="3" max="3" width="27.83203125" style="41" customWidth="1"/>
    <col min="4" max="4" width="22.33203125" style="41" bestFit="1" customWidth="1"/>
    <col min="5" max="5" width="8.1640625" style="41" customWidth="1"/>
    <col min="6" max="6" width="9.1640625" style="41" bestFit="1" customWidth="1"/>
    <col min="7" max="16384" width="11" style="41"/>
  </cols>
  <sheetData>
    <row r="4" spans="2:7">
      <c r="B4" s="2" t="s">
        <v>1</v>
      </c>
      <c r="G4" s="42"/>
    </row>
    <row r="5" spans="2:7">
      <c r="B5" s="1" t="s">
        <v>48</v>
      </c>
      <c r="C5" s="52">
        <f>Inputs!E33</f>
        <v>2510.42</v>
      </c>
      <c r="G5" s="42"/>
    </row>
    <row r="6" spans="2:7">
      <c r="B6" s="1" t="s">
        <v>59</v>
      </c>
      <c r="C6" s="52">
        <f>Inputs!E34</f>
        <v>20.170000000000002</v>
      </c>
      <c r="G6" s="42"/>
    </row>
    <row r="7" spans="2:7">
      <c r="B7" s="1" t="s">
        <v>57</v>
      </c>
      <c r="C7" s="53">
        <f>Inputs!D21</f>
        <v>8403</v>
      </c>
      <c r="G7" s="42"/>
    </row>
    <row r="8" spans="2:7">
      <c r="B8" s="1" t="s">
        <v>64</v>
      </c>
      <c r="C8" s="54">
        <f>ROUND(Inputs!E25/(1-Inputs!C16),3)</f>
        <v>4.9000000000000002E-2</v>
      </c>
      <c r="G8" s="42"/>
    </row>
    <row r="9" spans="2:7">
      <c r="B9" s="1" t="s">
        <v>56</v>
      </c>
      <c r="C9" s="54">
        <f>Inputs!C16</f>
        <v>0.18</v>
      </c>
      <c r="G9" s="42"/>
    </row>
    <row r="10" spans="2:7">
      <c r="B10" s="1" t="s">
        <v>45</v>
      </c>
      <c r="C10" s="54">
        <f>Inputs!E28</f>
        <v>0.04</v>
      </c>
      <c r="G10" s="42"/>
    </row>
    <row r="11" spans="2:7">
      <c r="B11" s="1" t="s">
        <v>46</v>
      </c>
      <c r="C11" s="54">
        <f>Inputs!E29</f>
        <v>0.05</v>
      </c>
      <c r="G11" s="42"/>
    </row>
    <row r="12" spans="2:7">
      <c r="B12" s="1" t="s">
        <v>47</v>
      </c>
      <c r="C12" s="57">
        <f>Inputs!E30</f>
        <v>0.9</v>
      </c>
      <c r="G12" s="42"/>
    </row>
    <row r="13" spans="2:7">
      <c r="B13" s="2"/>
      <c r="C13" s="2"/>
      <c r="D13" s="2"/>
      <c r="E13" s="35"/>
      <c r="F13" s="35" t="s">
        <v>7</v>
      </c>
      <c r="G13" s="42"/>
    </row>
    <row r="14" spans="2:7">
      <c r="B14" s="1" t="s">
        <v>55</v>
      </c>
      <c r="C14" s="1" t="s">
        <v>49</v>
      </c>
      <c r="D14" s="1" t="str">
        <f>CONCATENATE(C5," shares x ",C6)</f>
        <v>2510.42 shares x 20.17</v>
      </c>
      <c r="E14" s="33">
        <f>ROUND(C5*C6,0)</f>
        <v>50635</v>
      </c>
      <c r="F14" s="40">
        <f>ROUND(E14/E16,2)</f>
        <v>0.86</v>
      </c>
      <c r="G14" s="42"/>
    </row>
    <row r="15" spans="2:7">
      <c r="B15" s="1" t="s">
        <v>4</v>
      </c>
      <c r="C15" s="1"/>
      <c r="D15" s="1"/>
      <c r="E15" s="33">
        <f>Inputs!D21</f>
        <v>8403</v>
      </c>
      <c r="F15" s="51">
        <f>ROUND(E15/E16,2)</f>
        <v>0.14000000000000001</v>
      </c>
      <c r="G15" s="42"/>
    </row>
    <row r="16" spans="2:7" ht="16" thickBot="1">
      <c r="B16" s="1" t="s">
        <v>14</v>
      </c>
      <c r="C16" s="1"/>
      <c r="D16" s="1"/>
      <c r="E16" s="36">
        <f>SUM(E14:E15)</f>
        <v>59038</v>
      </c>
      <c r="F16" s="51">
        <f>SUM(F14:F15)</f>
        <v>1</v>
      </c>
      <c r="G16" s="42"/>
    </row>
    <row r="17" spans="2:8" ht="16" thickTop="1">
      <c r="B17" s="1"/>
      <c r="C17" s="1"/>
      <c r="D17" s="1"/>
      <c r="E17" s="34"/>
      <c r="F17" s="34"/>
      <c r="G17" s="42"/>
    </row>
    <row r="18" spans="2:8">
      <c r="B18" s="1" t="s">
        <v>43</v>
      </c>
      <c r="C18" s="1" t="s">
        <v>50</v>
      </c>
      <c r="D18" s="45" t="str">
        <f>CONCATENATE(C10," + (",C12," x ",C11,")")</f>
        <v>0.04 + (0.9 x 0.05)</v>
      </c>
      <c r="E18" s="37" t="s">
        <v>18</v>
      </c>
      <c r="F18" s="38">
        <f>ROUND(C10+(C12*C11),3)</f>
        <v>8.5000000000000006E-2</v>
      </c>
      <c r="G18" s="42"/>
      <c r="H18" s="1"/>
    </row>
    <row r="19" spans="2:8">
      <c r="B19" s="1" t="s">
        <v>44</v>
      </c>
      <c r="C19" s="1" t="s">
        <v>52</v>
      </c>
      <c r="D19" s="45" t="str">
        <f>CONCATENATE(C8," x (1 - ",C9,")")</f>
        <v>0.049 x (1 - 0.18)</v>
      </c>
      <c r="E19" s="37" t="s">
        <v>18</v>
      </c>
      <c r="F19" s="38">
        <f>ROUND(C8*(1-Inputs!C16),3)</f>
        <v>0.04</v>
      </c>
      <c r="G19" s="42"/>
      <c r="H19" s="1"/>
    </row>
    <row r="20" spans="2:8">
      <c r="B20" s="1" t="s">
        <v>20</v>
      </c>
      <c r="C20" s="1" t="s">
        <v>51</v>
      </c>
      <c r="D20" s="1" t="str">
        <f>CONCATENATE("(",F14," x ",F18,") + (",F15," x ",F19,")")</f>
        <v>(0.86 x 0.085) + (0.14 x 0.04)</v>
      </c>
      <c r="E20" s="37" t="s">
        <v>18</v>
      </c>
      <c r="F20" s="39">
        <f>(F14*F18)+(F15*F19)</f>
        <v>7.8699999999999992E-2</v>
      </c>
      <c r="G20" s="42"/>
      <c r="H20" s="1"/>
    </row>
    <row r="21" spans="2:8">
      <c r="B21" s="1"/>
      <c r="C21" s="1"/>
      <c r="D21" s="1"/>
      <c r="E21" s="34"/>
      <c r="F21" s="34"/>
      <c r="G21" s="42"/>
    </row>
    <row r="22" spans="2:8">
      <c r="E22" s="42"/>
      <c r="F22" s="42"/>
      <c r="G22" s="42"/>
    </row>
    <row r="23" spans="2:8">
      <c r="B23" s="82" t="s">
        <v>63</v>
      </c>
      <c r="E23" s="42"/>
      <c r="F23" s="42"/>
      <c r="G23" s="42"/>
    </row>
    <row r="24" spans="2:8">
      <c r="E24" s="42"/>
      <c r="F24" s="42"/>
      <c r="G24" s="42"/>
    </row>
    <row r="25" spans="2:8">
      <c r="E25" s="42"/>
      <c r="F25" s="42"/>
      <c r="G25" s="42"/>
    </row>
    <row r="26" spans="2:8">
      <c r="E26" s="42"/>
      <c r="F26" s="42"/>
      <c r="G26" s="42"/>
    </row>
  </sheetData>
  <sheetProtection password="F4C8" sheet="1" objects="1" scenarios="1"/>
  <pageMargins left="0.23622047244094491" right="0.23622047244094491" top="0.74803149606299213" bottom="0.74803149606299213" header="0.31496062992125984" footer="0.31496062992125984"/>
  <pageSetup paperSize="9" orientation="landscape" horizontalDpi="4294967292" verticalDpi="4294967292"/>
  <headerFooter>
    <oddFooter>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V31"/>
  <sheetViews>
    <sheetView zoomScale="200" zoomScaleNormal="200" zoomScalePageLayoutView="200" workbookViewId="0">
      <selection activeCell="H17" sqref="H17"/>
    </sheetView>
  </sheetViews>
  <sheetFormatPr baseColWidth="10" defaultColWidth="7.6640625" defaultRowHeight="13" x14ac:dyDescent="0"/>
  <cols>
    <col min="1" max="1" width="29.1640625" style="4" customWidth="1"/>
    <col min="2" max="2" width="5" style="4" bestFit="1" customWidth="1"/>
    <col min="3" max="7" width="9" style="4" customWidth="1"/>
    <col min="8" max="8" width="10" style="4" customWidth="1"/>
    <col min="9" max="9" width="0.6640625" style="4" customWidth="1"/>
    <col min="10" max="10" width="2.6640625" style="4" customWidth="1"/>
    <col min="11" max="11" width="2.83203125" style="4" bestFit="1" customWidth="1"/>
    <col min="12" max="12" width="7" style="4" bestFit="1" customWidth="1"/>
    <col min="13" max="17" width="8.1640625" style="4" customWidth="1"/>
    <col min="18" max="22" width="4.33203125" style="4" bestFit="1" customWidth="1"/>
    <col min="23" max="16384" width="7.6640625" style="4"/>
  </cols>
  <sheetData>
    <row r="4" spans="1:22">
      <c r="A4" s="3" t="s">
        <v>24</v>
      </c>
    </row>
    <row r="5" spans="1:22" s="5" customFormat="1">
      <c r="A5" s="5" t="s">
        <v>25</v>
      </c>
      <c r="B5" s="6">
        <f>ROUND(Inputs!E26,3)</f>
        <v>7.9000000000000001E-2</v>
      </c>
    </row>
    <row r="6" spans="1:22" s="5" customFormat="1">
      <c r="A6" s="5" t="s">
        <v>26</v>
      </c>
      <c r="B6" s="6">
        <f>Inputs!E31</f>
        <v>1.4999999999999999E-2</v>
      </c>
      <c r="C6" s="46"/>
      <c r="D6" s="46"/>
      <c r="E6" s="46"/>
      <c r="F6" s="46"/>
      <c r="G6" s="46"/>
    </row>
    <row r="7" spans="1:22" s="5" customFormat="1">
      <c r="C7" s="46" t="str">
        <f>Inputs!D6</f>
        <v>2015E</v>
      </c>
      <c r="D7" s="46" t="str">
        <f>Inputs!E6</f>
        <v>2016E</v>
      </c>
      <c r="E7" s="46" t="str">
        <f>Inputs!F6</f>
        <v>2017E</v>
      </c>
      <c r="F7" s="46" t="str">
        <f>Inputs!G6</f>
        <v>2018E</v>
      </c>
      <c r="G7" s="46" t="str">
        <f>Inputs!H6</f>
        <v>2019E</v>
      </c>
      <c r="H7" s="8" t="s">
        <v>27</v>
      </c>
    </row>
    <row r="8" spans="1:22" s="7" customFormat="1">
      <c r="C8" s="46" t="str">
        <f>Inputs!$D$7</f>
        <v>$m</v>
      </c>
      <c r="D8" s="46" t="str">
        <f>Inputs!$D$7</f>
        <v>$m</v>
      </c>
      <c r="E8" s="46" t="str">
        <f>Inputs!$D$7</f>
        <v>$m</v>
      </c>
      <c r="F8" s="46" t="str">
        <f>Inputs!$D$7</f>
        <v>$m</v>
      </c>
      <c r="G8" s="46" t="str">
        <f>Inputs!$D$7</f>
        <v>$m</v>
      </c>
      <c r="H8" s="47" t="str">
        <f>Inputs!$D$7</f>
        <v>$m</v>
      </c>
    </row>
    <row r="9" spans="1:22">
      <c r="A9" s="4" t="s">
        <v>0</v>
      </c>
      <c r="C9" s="9">
        <f>Inputs!D11</f>
        <v>3682.9439999999995</v>
      </c>
      <c r="D9" s="9">
        <f>Inputs!E11</f>
        <v>4070.3849999999998</v>
      </c>
      <c r="E9" s="9">
        <f>Inputs!F11</f>
        <v>4939.2820000000011</v>
      </c>
      <c r="F9" s="9">
        <f>Inputs!G11</f>
        <v>5389.6283000000003</v>
      </c>
      <c r="G9" s="9">
        <f>Inputs!H11</f>
        <v>5876.2347408000014</v>
      </c>
      <c r="H9" s="10"/>
    </row>
    <row r="10" spans="1:22">
      <c r="A10" s="4" t="s">
        <v>19</v>
      </c>
      <c r="C10" s="9">
        <f>Inputs!D12</f>
        <v>417</v>
      </c>
      <c r="D10" s="9">
        <f>Inputs!E12</f>
        <v>431</v>
      </c>
      <c r="E10" s="9">
        <f>Inputs!F12</f>
        <v>456</v>
      </c>
      <c r="F10" s="9">
        <f>Inputs!G12</f>
        <v>465</v>
      </c>
      <c r="G10" s="9">
        <f>Inputs!H12</f>
        <v>474</v>
      </c>
      <c r="H10" s="10"/>
      <c r="K10" s="100" t="s">
        <v>24</v>
      </c>
      <c r="L10" s="101"/>
      <c r="M10" s="101"/>
      <c r="N10" s="101"/>
      <c r="O10" s="101"/>
      <c r="P10" s="101"/>
      <c r="Q10" s="101"/>
    </row>
    <row r="11" spans="1:22" ht="14" thickBot="1">
      <c r="A11" s="4" t="s">
        <v>28</v>
      </c>
      <c r="C11" s="9">
        <f>Inputs!D14</f>
        <v>-412</v>
      </c>
      <c r="D11" s="9">
        <f>Inputs!E14</f>
        <v>-209</v>
      </c>
      <c r="E11" s="9">
        <f>Inputs!F14</f>
        <v>-150</v>
      </c>
      <c r="F11" s="9">
        <f>Inputs!G14</f>
        <v>-150</v>
      </c>
      <c r="G11" s="9">
        <f>Inputs!H14</f>
        <v>-185</v>
      </c>
      <c r="H11" s="10"/>
    </row>
    <row r="12" spans="1:22" s="5" customFormat="1">
      <c r="A12" s="5" t="s">
        <v>29</v>
      </c>
      <c r="C12" s="11">
        <f>SUM(C9:C11)</f>
        <v>3687.9439999999995</v>
      </c>
      <c r="D12" s="11">
        <f t="shared" ref="D12:G12" si="0">SUM(D9:D11)</f>
        <v>4292.3850000000002</v>
      </c>
      <c r="E12" s="11">
        <f t="shared" si="0"/>
        <v>5245.2820000000011</v>
      </c>
      <c r="F12" s="11">
        <f t="shared" si="0"/>
        <v>5704.6283000000003</v>
      </c>
      <c r="G12" s="11">
        <f t="shared" si="0"/>
        <v>6165.2347408000014</v>
      </c>
      <c r="H12" s="12"/>
      <c r="K12" s="13"/>
      <c r="L12" s="14"/>
      <c r="M12" s="102" t="s">
        <v>30</v>
      </c>
      <c r="N12" s="102"/>
      <c r="O12" s="102"/>
      <c r="P12" s="102"/>
      <c r="Q12" s="103"/>
    </row>
    <row r="13" spans="1:22">
      <c r="A13" s="4" t="s">
        <v>31</v>
      </c>
      <c r="C13" s="9">
        <f>Inputs!D15</f>
        <v>-639</v>
      </c>
      <c r="D13" s="9">
        <f>Inputs!E15</f>
        <v>-685.25</v>
      </c>
      <c r="E13" s="9">
        <f>Inputs!F15</f>
        <v>-456</v>
      </c>
      <c r="F13" s="9">
        <f>Inputs!G15</f>
        <v>-465</v>
      </c>
      <c r="G13" s="9">
        <f>Inputs!H15</f>
        <v>-816</v>
      </c>
      <c r="H13" s="10"/>
      <c r="K13" s="15"/>
      <c r="L13" s="16"/>
      <c r="M13" s="16">
        <f>N13-Inputs!$G$31</f>
        <v>4.9999999999999984E-3</v>
      </c>
      <c r="N13" s="16">
        <f>O13-Inputs!$G$31</f>
        <v>9.9999999999999985E-3</v>
      </c>
      <c r="O13" s="16">
        <f>+$B$6</f>
        <v>1.4999999999999999E-2</v>
      </c>
      <c r="P13" s="16">
        <f>O13+Inputs!$G$31</f>
        <v>0.02</v>
      </c>
      <c r="Q13" s="17">
        <f>P13+Inputs!$G$31</f>
        <v>2.5000000000000001E-2</v>
      </c>
    </row>
    <row r="14" spans="1:22">
      <c r="A14" s="4" t="s">
        <v>2</v>
      </c>
      <c r="C14" s="9">
        <f>Inputs!D16</f>
        <v>-662.92991999999992</v>
      </c>
      <c r="D14" s="9">
        <f>Inputs!E16</f>
        <v>-732.66929999999991</v>
      </c>
      <c r="E14" s="9">
        <f>Inputs!F16</f>
        <v>-889.07076000000018</v>
      </c>
      <c r="F14" s="9">
        <f>Inputs!G16</f>
        <v>-970.13309400000003</v>
      </c>
      <c r="G14" s="9">
        <f>Inputs!H16</f>
        <v>-1057.7222533440001</v>
      </c>
      <c r="H14" s="10"/>
      <c r="K14" s="18" t="s">
        <v>32</v>
      </c>
      <c r="L14" s="16">
        <f>$L15-Inputs!$G$26</f>
        <v>6.8999999999999992E-2</v>
      </c>
      <c r="M14" s="58">
        <f t="shared" ref="M14:Q18" si="1">(((+$C$17*1/(1+$L14))+($D$17*1/((1+$L14)^2))+($E$17*1/((1+$L14)^3))+($F$17*1/((1+$L14)^4))+($G$17*1/((1+$L14)^5))+IF($G$17&lt;&gt;0,((((ROUND($G$17*(1+M$13),0)))/($L14-M$13)*1)/((1+$L14)^5)),((((ROUND($F$17*(1+M$13),0)))/($L14-M$13)*1)/((1+$L14)^4)))-$C$23)/$C$27)</f>
        <v>21.571809857801853</v>
      </c>
      <c r="N14" s="58">
        <f t="shared" si="1"/>
        <v>23.302977932103261</v>
      </c>
      <c r="O14" s="58">
        <f t="shared" si="1"/>
        <v>25.360016790481342</v>
      </c>
      <c r="P14" s="58">
        <f t="shared" si="1"/>
        <v>27.831036199607489</v>
      </c>
      <c r="Q14" s="58">
        <f t="shared" si="1"/>
        <v>30.870135965287886</v>
      </c>
      <c r="R14" s="55"/>
      <c r="S14" s="55"/>
      <c r="T14" s="55"/>
      <c r="U14" s="55"/>
      <c r="V14" s="55"/>
    </row>
    <row r="15" spans="1:22" s="5" customFormat="1" ht="14" thickBot="1">
      <c r="A15" s="5" t="s">
        <v>33</v>
      </c>
      <c r="C15" s="19">
        <f>SUM(C12:C14)</f>
        <v>2386.0140799999995</v>
      </c>
      <c r="D15" s="19">
        <f t="shared" ref="D15:G15" si="2">SUM(D12:D14)</f>
        <v>2874.4657000000002</v>
      </c>
      <c r="E15" s="19">
        <f t="shared" si="2"/>
        <v>3900.211240000001</v>
      </c>
      <c r="F15" s="19">
        <f t="shared" si="2"/>
        <v>4269.4952060000005</v>
      </c>
      <c r="G15" s="19">
        <f t="shared" si="2"/>
        <v>4291.5124874560015</v>
      </c>
      <c r="H15" s="20">
        <f>ROUND(IF(G15&lt;&gt;0,(G15*(1+$B$6)),(F15*(1+$B$6))),0)</f>
        <v>4356</v>
      </c>
      <c r="K15" s="18" t="s">
        <v>34</v>
      </c>
      <c r="L15" s="16">
        <f>$L16-Inputs!$G$26</f>
        <v>7.3999999999999996E-2</v>
      </c>
      <c r="M15" s="58">
        <f t="shared" si="1"/>
        <v>19.683601938077835</v>
      </c>
      <c r="N15" s="58">
        <f t="shared" si="1"/>
        <v>21.136366545839099</v>
      </c>
      <c r="O15" s="58">
        <f t="shared" si="1"/>
        <v>22.840087207865089</v>
      </c>
      <c r="P15" s="58">
        <f t="shared" si="1"/>
        <v>24.854149453155038</v>
      </c>
      <c r="Q15" s="58">
        <f t="shared" si="1"/>
        <v>27.284933812259382</v>
      </c>
      <c r="R15" s="55"/>
      <c r="S15" s="55"/>
      <c r="T15" s="55"/>
      <c r="U15" s="55"/>
      <c r="V15" s="55"/>
    </row>
    <row r="16" spans="1:22" ht="14" thickTop="1">
      <c r="A16" s="4" t="s">
        <v>35</v>
      </c>
      <c r="C16" s="9"/>
      <c r="D16" s="9"/>
      <c r="E16" s="9"/>
      <c r="F16" s="9"/>
      <c r="G16" s="9"/>
      <c r="H16" s="10"/>
      <c r="K16" s="18" t="s">
        <v>36</v>
      </c>
      <c r="L16" s="16">
        <f>+$B$5</f>
        <v>7.9000000000000001E-2</v>
      </c>
      <c r="M16" s="58">
        <f t="shared" si="1"/>
        <v>18.051671140270631</v>
      </c>
      <c r="N16" s="58">
        <f t="shared" si="1"/>
        <v>19.284874288907645</v>
      </c>
      <c r="O16" s="59">
        <f>(((+$C$17*1/(1+$L16))+($D$17*1/((1+$L16)^2))+($E$17*1/((1+$L16)^3))+($F$17*1/((1+$L16)^4))+($G$17*1/((1+$L16)^5))+IF($G$17&lt;&gt;0,((((ROUND($G$17*(1+O$13),0)))/($L16-O$13)*1)/((1+$L16)^5)),((((ROUND($F$17*(1+O$13),0)))/($L16-O$13)*1)/((1+$L16)^4)))-$C$23)/$C$27)</f>
        <v>20.715021084551946</v>
      </c>
      <c r="P16" s="58">
        <f t="shared" si="1"/>
        <v>22.382949338405517</v>
      </c>
      <c r="Q16" s="58">
        <f t="shared" si="1"/>
        <v>24.364796934122634</v>
      </c>
      <c r="R16" s="55"/>
      <c r="S16" s="55"/>
      <c r="T16" s="55"/>
      <c r="U16" s="55"/>
      <c r="V16" s="55"/>
    </row>
    <row r="17" spans="1:22" ht="14" thickBot="1">
      <c r="A17" s="4" t="s">
        <v>14</v>
      </c>
      <c r="C17" s="21">
        <f>SUM(C15:C16)</f>
        <v>2386.0140799999995</v>
      </c>
      <c r="D17" s="21">
        <f>SUM(D15:D16)</f>
        <v>2874.4657000000002</v>
      </c>
      <c r="E17" s="21">
        <f>SUM(E15:E16)</f>
        <v>3900.211240000001</v>
      </c>
      <c r="F17" s="21">
        <f t="shared" ref="F17:G17" si="3">SUM(F15:F16)</f>
        <v>4269.4952060000005</v>
      </c>
      <c r="G17" s="21">
        <f t="shared" si="3"/>
        <v>4291.5124874560015</v>
      </c>
      <c r="H17" s="22">
        <f>H15/(B5-B6)</f>
        <v>68062.5</v>
      </c>
      <c r="K17" s="18" t="s">
        <v>36</v>
      </c>
      <c r="L17" s="16">
        <f>$L16+Inputs!$G$26</f>
        <v>8.4000000000000005E-2</v>
      </c>
      <c r="M17" s="58">
        <f t="shared" si="1"/>
        <v>16.627336792952111</v>
      </c>
      <c r="N17" s="58">
        <f t="shared" si="1"/>
        <v>17.684605588648299</v>
      </c>
      <c r="O17" s="58">
        <f t="shared" si="1"/>
        <v>18.898958821291355</v>
      </c>
      <c r="P17" s="58">
        <f t="shared" si="1"/>
        <v>20.298896337279082</v>
      </c>
      <c r="Q17" s="58">
        <f t="shared" si="1"/>
        <v>21.940622215169331</v>
      </c>
      <c r="R17" s="56"/>
      <c r="S17" s="56"/>
      <c r="T17" s="56"/>
      <c r="U17" s="56"/>
      <c r="V17" s="56"/>
    </row>
    <row r="18" spans="1:22" s="5" customFormat="1" ht="15" thickTop="1" thickBot="1">
      <c r="A18" s="5" t="s">
        <v>37</v>
      </c>
      <c r="C18" s="43">
        <f>1/(1+$B$5)</f>
        <v>0.92678405931417984</v>
      </c>
      <c r="D18" s="43">
        <f>1/((1+$B$5)^2)</f>
        <v>0.85892869259886928</v>
      </c>
      <c r="E18" s="43">
        <f>1/((1+$B$5)^3)</f>
        <v>0.79604142038820125</v>
      </c>
      <c r="F18" s="43">
        <f>1/((1+$B$5)^4)</f>
        <v>0.73775849896960277</v>
      </c>
      <c r="G18" s="43">
        <f>1/((1+$B$5)^5)</f>
        <v>0.6837428164685847</v>
      </c>
      <c r="H18" s="44">
        <f>IF(G15&lt;&gt;0,1/((1+$B$5)^5),1/((1+$B$5)^5))</f>
        <v>0.6837428164685847</v>
      </c>
      <c r="K18" s="23"/>
      <c r="L18" s="24">
        <f>$L17+Inputs!$G$26</f>
        <v>8.900000000000001E-2</v>
      </c>
      <c r="M18" s="58">
        <f t="shared" si="1"/>
        <v>15.373509332109538</v>
      </c>
      <c r="N18" s="58">
        <f t="shared" si="1"/>
        <v>16.287841418892913</v>
      </c>
      <c r="O18" s="58">
        <f t="shared" si="1"/>
        <v>17.329246549118096</v>
      </c>
      <c r="P18" s="58">
        <f t="shared" si="1"/>
        <v>18.517810620725772</v>
      </c>
      <c r="Q18" s="58">
        <f t="shared" si="1"/>
        <v>19.896151646441833</v>
      </c>
      <c r="R18" s="56"/>
      <c r="S18" s="56"/>
      <c r="T18" s="56"/>
      <c r="U18" s="56"/>
      <c r="V18" s="56"/>
    </row>
    <row r="19" spans="1:22" s="5" customFormat="1" ht="14" thickBot="1">
      <c r="A19" s="5" t="s">
        <v>38</v>
      </c>
      <c r="C19" s="25">
        <f t="shared" ref="C19:G19" si="4">C18*C17</f>
        <v>2211.3198146431878</v>
      </c>
      <c r="D19" s="25">
        <f t="shared" si="4"/>
        <v>2468.961065621294</v>
      </c>
      <c r="E19" s="25">
        <f t="shared" si="4"/>
        <v>3104.7296953036284</v>
      </c>
      <c r="F19" s="25">
        <f t="shared" si="4"/>
        <v>3149.8563745364754</v>
      </c>
      <c r="G19" s="25">
        <f t="shared" si="4"/>
        <v>2934.2908350832681</v>
      </c>
      <c r="H19" s="26"/>
    </row>
    <row r="20" spans="1:22" s="5" customFormat="1" ht="14" thickTop="1">
      <c r="A20" s="5" t="s">
        <v>39</v>
      </c>
      <c r="H20" s="27">
        <f>H18*H17</f>
        <v>46537.245445893044</v>
      </c>
    </row>
    <row r="21" spans="1:22" s="5" customFormat="1">
      <c r="A21" s="28" t="s">
        <v>40</v>
      </c>
      <c r="B21" s="29"/>
      <c r="C21" s="30">
        <f>C19+D19+E19+F19+G19+H20</f>
        <v>60406.403231080898</v>
      </c>
    </row>
    <row r="22" spans="1:22" ht="6.75" customHeight="1">
      <c r="K22" s="5"/>
      <c r="L22" s="5"/>
    </row>
    <row r="23" spans="1:22">
      <c r="A23" s="48" t="s">
        <v>53</v>
      </c>
      <c r="C23" s="9">
        <f>Inputs!D21</f>
        <v>8403</v>
      </c>
      <c r="D23" s="49"/>
      <c r="E23" s="49"/>
      <c r="F23" s="49"/>
      <c r="G23" s="49"/>
    </row>
    <row r="24" spans="1:22" ht="7.5" customHeight="1">
      <c r="A24" s="5"/>
    </row>
    <row r="25" spans="1:22">
      <c r="A25" s="28" t="s">
        <v>41</v>
      </c>
      <c r="B25" s="29"/>
      <c r="C25" s="30">
        <f>C21-C23</f>
        <v>52003.403231080898</v>
      </c>
      <c r="M25" s="31"/>
      <c r="N25" s="31"/>
      <c r="O25" s="31"/>
      <c r="P25" s="31"/>
      <c r="Q25" s="31"/>
    </row>
    <row r="26" spans="1:22" ht="6.75" customHeight="1">
      <c r="A26" s="49"/>
      <c r="M26" s="31"/>
      <c r="N26" s="31"/>
      <c r="O26" s="31"/>
      <c r="P26" s="31"/>
      <c r="Q26" s="31"/>
    </row>
    <row r="27" spans="1:22">
      <c r="A27" s="49" t="s">
        <v>54</v>
      </c>
      <c r="C27" s="50">
        <f>Inputs!E33</f>
        <v>2510.42</v>
      </c>
      <c r="M27" s="31"/>
      <c r="N27" s="31"/>
      <c r="O27" s="31"/>
      <c r="P27" s="31"/>
      <c r="Q27" s="31"/>
    </row>
    <row r="28" spans="1:22" ht="6.75" customHeight="1">
      <c r="A28" s="49"/>
      <c r="M28" s="31"/>
      <c r="N28" s="31"/>
      <c r="O28" s="31"/>
      <c r="P28" s="31"/>
      <c r="Q28" s="31"/>
    </row>
    <row r="29" spans="1:22">
      <c r="A29" s="28" t="s">
        <v>42</v>
      </c>
      <c r="B29" s="29"/>
      <c r="C29" s="60" t="str">
        <f>CONCATENATE(Inputs!B5,ROUND((C25/C27),2))</f>
        <v>$20.72</v>
      </c>
      <c r="M29" s="31"/>
      <c r="N29" s="31"/>
      <c r="O29" s="31"/>
      <c r="P29" s="31"/>
      <c r="Q29" s="31"/>
    </row>
    <row r="30" spans="1:22">
      <c r="M30" s="32"/>
      <c r="N30" s="32"/>
      <c r="O30" s="32"/>
      <c r="P30" s="32"/>
      <c r="Q30" s="32"/>
    </row>
    <row r="31" spans="1:22">
      <c r="A31" s="82" t="s">
        <v>63</v>
      </c>
    </row>
  </sheetData>
  <sheetProtection password="F4C8" sheet="1" objects="1" scenarios="1"/>
  <mergeCells count="2">
    <mergeCell ref="K10:Q10"/>
    <mergeCell ref="M12:Q12"/>
  </mergeCells>
  <pageMargins left="0.25" right="0.25" top="0.75" bottom="0.75" header="0.3" footer="0.3"/>
  <pageSetup paperSize="9" scale="91" orientation="landscape" horizontalDpi="4294967292" verticalDpi="4294967292"/>
  <headerFooter>
    <oddFooter>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WACC</vt:lpstr>
      <vt:lpstr>DCF Valuation</vt:lpstr>
    </vt:vector>
  </TitlesOfParts>
  <Company>FinanceTalking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Lane</dc:creator>
  <cp:lastModifiedBy>Miranda Lane</cp:lastModifiedBy>
  <cp:lastPrinted>2013-11-04T12:44:06Z</cp:lastPrinted>
  <dcterms:created xsi:type="dcterms:W3CDTF">2012-08-01T11:06:29Z</dcterms:created>
  <dcterms:modified xsi:type="dcterms:W3CDTF">2015-11-13T18:49:07Z</dcterms:modified>
</cp:coreProperties>
</file>